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odroy\Downloads\nauragen_site\"/>
    </mc:Choice>
  </mc:AlternateContent>
  <xr:revisionPtr revIDLastSave="0" documentId="8_{743EC58B-B732-4A9A-88FF-51E70EC4108A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0-Sommaire" sheetId="1" r:id="rId1"/>
    <sheet name="1-Hypothèses" sheetId="2" r:id="rId2"/>
    <sheet name="2-Revenus" sheetId="3" r:id="rId3"/>
    <sheet name="3-Charges" sheetId="4" r:id="rId4"/>
    <sheet name="4-P&amp;L" sheetId="5" r:id="rId5"/>
    <sheet name="7-Rentabilité" sheetId="6" r:id="rId6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6" l="1"/>
  <c r="E17" i="4"/>
  <c r="D17" i="4"/>
  <c r="C17" i="4"/>
  <c r="E16" i="4"/>
  <c r="E18" i="4" s="1"/>
  <c r="D16" i="4"/>
  <c r="D18" i="4" s="1"/>
  <c r="C16" i="4"/>
  <c r="C18" i="4" s="1"/>
  <c r="E13" i="4"/>
  <c r="E6" i="5" s="1"/>
  <c r="D13" i="4"/>
  <c r="D6" i="5" s="1"/>
  <c r="C13" i="4"/>
  <c r="C6" i="5" s="1"/>
  <c r="E17" i="3"/>
  <c r="E16" i="3"/>
  <c r="D16" i="3"/>
  <c r="C16" i="3"/>
  <c r="E15" i="3"/>
  <c r="D15" i="3"/>
  <c r="D17" i="3" s="1"/>
  <c r="C15" i="3"/>
  <c r="C17" i="3" s="1"/>
  <c r="E10" i="3"/>
  <c r="D10" i="3"/>
  <c r="C10" i="3"/>
  <c r="C8" i="2"/>
  <c r="D6" i="3" s="1"/>
  <c r="C7" i="1"/>
  <c r="C20" i="4" l="1"/>
  <c r="C8" i="5"/>
  <c r="D8" i="5"/>
  <c r="D20" i="4"/>
  <c r="E20" i="4"/>
  <c r="E8" i="5"/>
  <c r="C10" i="2"/>
  <c r="C6" i="3"/>
  <c r="E6" i="3"/>
  <c r="C6" i="1"/>
  <c r="C9" i="3" l="1"/>
  <c r="D8" i="3"/>
  <c r="D7" i="3"/>
  <c r="E8" i="3"/>
  <c r="C8" i="3"/>
  <c r="C7" i="3"/>
  <c r="C12" i="3" s="1"/>
  <c r="C19" i="3" s="1"/>
  <c r="C5" i="5" s="1"/>
  <c r="E7" i="3"/>
  <c r="E12" i="3" s="1"/>
  <c r="E19" i="3" s="1"/>
  <c r="E5" i="5" s="1"/>
  <c r="E7" i="5" s="1"/>
  <c r="E9" i="5" s="1"/>
  <c r="D9" i="3"/>
  <c r="E9" i="3"/>
  <c r="C11" i="1" l="1"/>
  <c r="C7" i="5"/>
  <c r="E10" i="5"/>
  <c r="E12" i="5" s="1"/>
  <c r="E13" i="5" s="1"/>
  <c r="D12" i="3"/>
  <c r="D19" i="3" s="1"/>
  <c r="D5" i="5" s="1"/>
  <c r="D7" i="5" s="1"/>
  <c r="D9" i="5" s="1"/>
  <c r="D10" i="5" l="1"/>
  <c r="D12" i="5" s="1"/>
  <c r="D13" i="5" s="1"/>
  <c r="C9" i="5"/>
  <c r="C12" i="1"/>
  <c r="C10" i="5" l="1"/>
  <c r="C12" i="5" s="1"/>
  <c r="C6" i="6" l="1"/>
  <c r="C13" i="5"/>
  <c r="C18" i="1" s="1"/>
  <c r="C13" i="1"/>
  <c r="C10" i="6"/>
  <c r="C8" i="6" l="1"/>
  <c r="C17" i="1" s="1"/>
  <c r="C7" i="6"/>
  <c r="C16" i="1" s="1"/>
</calcChain>
</file>

<file path=xl/sharedStrings.xml><?xml version="1.0" encoding="utf-8"?>
<sst xmlns="http://schemas.openxmlformats.org/spreadsheetml/2006/main" count="141" uniqueCount="123">
  <si>
    <t>NAURAGEN — UNITÉ PILOTE 10 T/JOUR</t>
  </si>
  <si>
    <t>RÉSUMÉ EXÉCUTIF DU PLAN D'AFFAIRE</t>
  </si>
  <si>
    <t>PROFIL DU PROJET</t>
  </si>
  <si>
    <t>Capacité de traitement</t>
  </si>
  <si>
    <t>tonnes / an</t>
  </si>
  <si>
    <t>Investissement (CAPEX)</t>
  </si>
  <si>
    <t>Flux de revenus</t>
  </si>
  <si>
    <t>8 flux intégrés (H2, IA, Cashback...)</t>
  </si>
  <si>
    <t>PERFORMANCE FINANCIÈRE (AN 1)</t>
  </si>
  <si>
    <t>Revenu Brut Total</t>
  </si>
  <si>
    <t>EBITDA</t>
  </si>
  <si>
    <t>Résultat Net</t>
  </si>
  <si>
    <t>INDICATEURS DE RENTABILITÉ</t>
  </si>
  <si>
    <t>Délai de récupération</t>
  </si>
  <si>
    <t>ROI Moyen Annuel</t>
  </si>
  <si>
    <t>Marge Nette Moyenne</t>
  </si>
  <si>
    <t>NAURAGEN PILOTE 10 T/J — HYPOTHÈSES</t>
  </si>
  <si>
    <t>A. PARAMÈTRES OPÉRATIONNELS</t>
  </si>
  <si>
    <t>Paramètre</t>
  </si>
  <si>
    <t>Valeur</t>
  </si>
  <si>
    <t>Unité</t>
  </si>
  <si>
    <t>Source/Commentaire</t>
  </si>
  <si>
    <t>Débit journalier (intrants)</t>
  </si>
  <si>
    <t>t/jour</t>
  </si>
  <si>
    <t>Unité pilote standard</t>
  </si>
  <si>
    <t>Jours d'opération par an</t>
  </si>
  <si>
    <t>jours</t>
  </si>
  <si>
    <t>Maintenance incluse</t>
  </si>
  <si>
    <t>Débit annuel effectif</t>
  </si>
  <si>
    <t>t/an</t>
  </si>
  <si>
    <t>Volume total traité</t>
  </si>
  <si>
    <t>Taux matière sèche (MS)</t>
  </si>
  <si>
    <t>%</t>
  </si>
  <si>
    <t>Lisier de volaille frais</t>
  </si>
  <si>
    <t>Volume MS annuel</t>
  </si>
  <si>
    <t>t MS/an</t>
  </si>
  <si>
    <t>B. PARAMÈTRES REVENUS PROJET (PILOTE)</t>
  </si>
  <si>
    <t>Frais de réception (Tipping fee)</t>
  </si>
  <si>
    <t>$/t</t>
  </si>
  <si>
    <t>Scenario Optimisé</t>
  </si>
  <si>
    <t>Prix Biochar Premium (NPK)</t>
  </si>
  <si>
    <t>Amendement haute valeur</t>
  </si>
  <si>
    <t>Rendement Biochar (% MS)</t>
  </si>
  <si>
    <t>% MS</t>
  </si>
  <si>
    <t>Prix Crédits Carbone</t>
  </si>
  <si>
    <t>$/t CO2e</t>
  </si>
  <si>
    <t>Premium Puro.earth</t>
  </si>
  <si>
    <t>Rendement H2 (kg/t MS)</t>
  </si>
  <si>
    <t>kg/t MS</t>
  </si>
  <si>
    <t>Optimisé (WGS+PSA)</t>
  </si>
  <si>
    <t>Prix vente H2</t>
  </si>
  <si>
    <t>$/kg</t>
  </si>
  <si>
    <t>C. PARAMÈTRES IA &amp; CASHBACK</t>
  </si>
  <si>
    <t>Nombre de GPU (A100 equiv.)</t>
  </si>
  <si>
    <t>unités</t>
  </si>
  <si>
    <t>Prix location GPU</t>
  </si>
  <si>
    <t>$/h</t>
  </si>
  <si>
    <t>Taux utilisation IA</t>
  </si>
  <si>
    <t>Cashback OneShot / client</t>
  </si>
  <si>
    <t>$/client</t>
  </si>
  <si>
    <t>Cashback Récurrent / client / mois</t>
  </si>
  <si>
    <t>$/mois</t>
  </si>
  <si>
    <t>Nouveaux clients / an</t>
  </si>
  <si>
    <t>clients/an</t>
  </si>
  <si>
    <t>D. CAPEX &amp; PARAMÈTRES FINANCIERS</t>
  </si>
  <si>
    <t>CAPEX Total (CAD)</t>
  </si>
  <si>
    <t>$</t>
  </si>
  <si>
    <t>Amortissement Nauragen (ans)</t>
  </si>
  <si>
    <t>ans</t>
  </si>
  <si>
    <t>Amortissement IA (ans)</t>
  </si>
  <si>
    <t>Taux d'imposition</t>
  </si>
  <si>
    <t>WACC (Taux actualisation)</t>
  </si>
  <si>
    <t>PROJECTION DES REVENUS — PILOTE 10 T/J</t>
  </si>
  <si>
    <t>Source de revenu</t>
  </si>
  <si>
    <t>An 1</t>
  </si>
  <si>
    <t>An 2</t>
  </si>
  <si>
    <t>An 3</t>
  </si>
  <si>
    <t>REVENUS PROJET PRINCIPAL</t>
  </si>
  <si>
    <t>Frais de réception (Tipping Fee)</t>
  </si>
  <si>
    <t>Biochar Premium (NPK)</t>
  </si>
  <si>
    <t>Crédits Carbone</t>
  </si>
  <si>
    <t>Hydrogène Vert</t>
  </si>
  <si>
    <t>Location Ferme IA (GPU)</t>
  </si>
  <si>
    <t>Huile pyrolytique &amp; Chaleur</t>
  </si>
  <si>
    <t>SOUS-TOTAL PROJET</t>
  </si>
  <si>
    <t>REVENUS CASHBACK DESJARDINS</t>
  </si>
  <si>
    <t>Cashback OneShot (Nouveaux)</t>
  </si>
  <si>
    <t>Cashback Récurrent (Interchange)</t>
  </si>
  <si>
    <t>SOUS-TOTAL CASHBACK</t>
  </si>
  <si>
    <t>TOTAL REVENUS BRUTS</t>
  </si>
  <si>
    <t>CHARGES D'EXPLOITATION ANNUELLES</t>
  </si>
  <si>
    <t>Poste de charge</t>
  </si>
  <si>
    <t>OPEX OPÉRATIONNEL</t>
  </si>
  <si>
    <t>Maintenance &amp; Entretien (10 TPD)</t>
  </si>
  <si>
    <t>Maintenance Serveurs &amp; Refroidissement</t>
  </si>
  <si>
    <t>Personnel (Opérateurs + IT)</t>
  </si>
  <si>
    <t>Énergie auxiliaire &amp; Eau</t>
  </si>
  <si>
    <t>Transport &amp; Logistique (Collecte)</t>
  </si>
  <si>
    <t>Connectivité &amp; Cloud</t>
  </si>
  <si>
    <t>Certification &amp; Assurances</t>
  </si>
  <si>
    <t>SOUS-TOTAL OPEX</t>
  </si>
  <si>
    <t>AMORTISSEMENT (NON DÉCAISSÉ)</t>
  </si>
  <si>
    <t>Amortissement Nauragenification</t>
  </si>
  <si>
    <t>Amortissement Ferme IA</t>
  </si>
  <si>
    <t>SOUS-TOTAL AMORTISSEMENT</t>
  </si>
  <si>
    <t>TOTAL CHARGES (OPEX + AMORT.)</t>
  </si>
  <si>
    <t>COMPTE DE RÉSULTATS (P&amp;L)</t>
  </si>
  <si>
    <t>Poste</t>
  </si>
  <si>
    <t>REVENUS BRUTS TOTAUX</t>
  </si>
  <si>
    <t>(-) OPEX OPÉRATIONNEL</t>
  </si>
  <si>
    <t>(-) AMORTISSEMENT</t>
  </si>
  <si>
    <t>EBIT (Résultat d'exploitation)</t>
  </si>
  <si>
    <t>(-) IMPÔTS (26,5%)</t>
  </si>
  <si>
    <t>RÉSULTAT NET</t>
  </si>
  <si>
    <t>Marge Nette (%)</t>
  </si>
  <si>
    <t>ANALYSE DE RENTABILITÉ DU PROJET PILOTE</t>
  </si>
  <si>
    <t>Indicateur</t>
  </si>
  <si>
    <t>CAPEX Initial Total</t>
  </si>
  <si>
    <t>Résultat Net Moyen (3 ans)</t>
  </si>
  <si>
    <t>$/an</t>
  </si>
  <si>
    <t>Délai de récupération (Payback)</t>
  </si>
  <si>
    <t>VAN (NPV) sur 10 ans (extrapolé)</t>
  </si>
  <si>
    <t>TRI (IRR) sur 10 ans (extrapolé)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</si>
</sst>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\ &quot;$&quot;"/>
    <numFmt numFmtId="166" formatCode="0.0&quot; ans&quot;"/>
  </numFmts>
  <fonts count="8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0"/>
      <color rgb="FF000000"/>
      <name val="Calibri"/>
    </font>
    <font>
      <b/>
      <sz val="10"/>
      <color rgb="FFFFFFFF"/>
      <name val="Calibri"/>
    </font>
    <font>
      <sz val="10"/>
      <color rgb="FF000000"/>
      <name val="Calibri"/>
    </font>
    <font>
      <b/>
      <sz val="14"/>
      <color rgb="FFFFFFFF"/>
      <name val="Calibri"/>
    </font>
    <font>
      <b/>
      <sz val="12"/>
      <color rgb="FF00FFC2"/>
      <name val="Calibri"/>
    </font>
    <font>
      <sz val="10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50A0A"/>
      </patternFill>
    </fill>
    <fill>
      <patternFill patternType="solid">
        <fgColor rgb="FF00FFC2"/>
      </patternFill>
    </fill>
    <fill>
      <patternFill patternType="solid">
        <fgColor rgb="FF0D1A18"/>
      </patternFill>
    </fill>
    <fill>
      <patternFill patternType="solid">
        <fgColor rgb="FFE2EFDA"/>
      </patternFill>
    </fill>
    <fill>
      <patternFill patternType="solid">
        <fgColor rgb="FFFFF2CC"/>
      </patternFill>
    </fill>
    <fill>
      <patternFill patternType="solid">
        <fgColor rgb="FFC6EFCE"/>
      </patternFill>
    </fill>
    <fill>
      <patternFill patternType="solid">
        <fgColor rgb="FFFCE4D6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" fontId="4" fillId="6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5" fontId="4" fillId="6" borderId="1" xfId="0" applyNumberFormat="1" applyFont="1" applyFill="1" applyBorder="1" applyAlignment="1">
      <alignment horizontal="right" vertical="center"/>
    </xf>
    <xf numFmtId="166" fontId="2" fillId="7" borderId="1" xfId="0" applyNumberFormat="1" applyFont="1" applyFill="1" applyBorder="1" applyAlignment="1">
      <alignment horizontal="right" vertical="center"/>
    </xf>
    <xf numFmtId="164" fontId="2" fillId="7" borderId="1" xfId="0" applyNumberFormat="1" applyFont="1" applyFill="1" applyBorder="1" applyAlignment="1">
      <alignment horizontal="right" vertical="center"/>
    </xf>
    <xf numFmtId="0" fontId="3" fillId="4" borderId="0" xfId="0" applyFont="1" applyFill="1"/>
    <xf numFmtId="0" fontId="4" fillId="5" borderId="1" xfId="0" applyFont="1" applyFill="1" applyBorder="1" applyAlignment="1">
      <alignment horizontal="left" vertical="center"/>
    </xf>
    <xf numFmtId="3" fontId="4" fillId="5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left" vertical="center"/>
    </xf>
    <xf numFmtId="164" fontId="4" fillId="5" borderId="1" xfId="0" applyNumberFormat="1" applyFont="1" applyFill="1" applyBorder="1" applyAlignment="1">
      <alignment horizontal="right" vertical="center"/>
    </xf>
    <xf numFmtId="165" fontId="4" fillId="5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 vertical="center"/>
    </xf>
    <xf numFmtId="0" fontId="2" fillId="7" borderId="1" xfId="0" applyFont="1" applyFill="1" applyBorder="1" applyAlignment="1">
      <alignment horizontal="left" vertical="center"/>
    </xf>
    <xf numFmtId="165" fontId="2" fillId="7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165" fontId="2" fillId="8" borderId="1" xfId="0" applyNumberFormat="1" applyFont="1" applyFill="1" applyBorder="1" applyAlignment="1">
      <alignment horizontal="right" vertical="center"/>
    </xf>
    <xf numFmtId="0" fontId="4" fillId="8" borderId="1" xfId="0" applyFont="1" applyFill="1" applyBorder="1" applyAlignment="1">
      <alignment horizontal="left" vertical="center"/>
    </xf>
    <xf numFmtId="165" fontId="4" fillId="8" borderId="1" xfId="0" applyNumberFormat="1" applyFont="1" applyFill="1" applyBorder="1" applyAlignment="1">
      <alignment horizontal="right" vertical="center"/>
    </xf>
    <xf numFmtId="165" fontId="2" fillId="6" borderId="1" xfId="0" applyNumberFormat="1" applyFont="1" applyFill="1" applyBorder="1" applyAlignment="1">
      <alignment horizontal="right" vertical="center"/>
    </xf>
    <xf numFmtId="164" fontId="4" fillId="6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64" fontId="2" fillId="6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3" xfId="0" applyBorder="1"/>
    <xf numFmtId="0" fontId="7" fillId="2" borderId="1" xfId="0" applyFont="1" applyFill="1" applyBorder="1" applyAlignment="1">
      <alignment horizontal="left" vertical="center"/>
    </xf>
    <xf numFmtId="0" fontId="0" fillId="0" borderId="2" xfId="0" applyBorder="1"/>
    <xf numFmtId="0" fontId="6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8"/>
  <sheetViews>
    <sheetView workbookViewId="0">
      <selection activeCell="L7" sqref="L7"/>
    </sheetView>
  </sheetViews>
  <sheetFormatPr baseColWidth="10" defaultColWidth="8.7265625" defaultRowHeight="14.5" x14ac:dyDescent="0.35"/>
  <cols>
    <col min="1" max="1" width="2" customWidth="1"/>
    <col min="2" max="2" width="30" customWidth="1"/>
    <col min="3" max="3" width="20" customWidth="1"/>
    <col min="4" max="4" width="30" customWidth="1"/>
  </cols>
  <sheetData>
    <row r="2" spans="2:4" ht="15.5" x14ac:dyDescent="0.35">
      <c r="B2" s="32" t="s">
        <v>0</v>
      </c>
      <c r="C2" s="31"/>
      <c r="D2" s="29"/>
    </row>
    <row r="3" spans="2:4" x14ac:dyDescent="0.35">
      <c r="B3" s="30" t="s">
        <v>1</v>
      </c>
      <c r="C3" s="31"/>
      <c r="D3" s="29"/>
    </row>
    <row r="5" spans="2:4" x14ac:dyDescent="0.35">
      <c r="B5" s="1" t="s">
        <v>2</v>
      </c>
    </row>
    <row r="6" spans="2:4" x14ac:dyDescent="0.35">
      <c r="B6" s="2" t="s">
        <v>3</v>
      </c>
      <c r="C6" s="3">
        <f>'1-Hypothèses'!C8</f>
        <v>3500</v>
      </c>
      <c r="D6" s="4" t="s">
        <v>4</v>
      </c>
    </row>
    <row r="7" spans="2:4" x14ac:dyDescent="0.35">
      <c r="B7" s="2" t="s">
        <v>5</v>
      </c>
      <c r="C7" s="5">
        <f>'1-Hypothèses'!C29</f>
        <v>12400000</v>
      </c>
    </row>
    <row r="8" spans="2:4" x14ac:dyDescent="0.35">
      <c r="B8" s="2" t="s">
        <v>6</v>
      </c>
      <c r="C8" s="28" t="s">
        <v>7</v>
      </c>
      <c r="D8" s="29"/>
    </row>
    <row r="10" spans="2:4" x14ac:dyDescent="0.35">
      <c r="B10" s="1" t="s">
        <v>8</v>
      </c>
    </row>
    <row r="11" spans="2:4" x14ac:dyDescent="0.35">
      <c r="B11" s="2" t="s">
        <v>9</v>
      </c>
      <c r="C11" s="5">
        <f>'4-P&amp;L'!C5</f>
        <v>5717651.3200000003</v>
      </c>
    </row>
    <row r="12" spans="2:4" x14ac:dyDescent="0.35">
      <c r="B12" s="2" t="s">
        <v>10</v>
      </c>
      <c r="C12" s="5">
        <f>'4-P&amp;L'!C7</f>
        <v>4502651.32</v>
      </c>
    </row>
    <row r="13" spans="2:4" x14ac:dyDescent="0.35">
      <c r="B13" s="2" t="s">
        <v>11</v>
      </c>
      <c r="C13" s="5">
        <f>'4-P&amp;L'!C12</f>
        <v>2721448.7202000003</v>
      </c>
    </row>
    <row r="15" spans="2:4" x14ac:dyDescent="0.35">
      <c r="B15" s="1" t="s">
        <v>12</v>
      </c>
    </row>
    <row r="16" spans="2:4" x14ac:dyDescent="0.35">
      <c r="B16" s="2" t="s">
        <v>13</v>
      </c>
      <c r="C16" s="6">
        <f>'7-Rentabilité'!C7</f>
        <v>4.0592273808924961</v>
      </c>
    </row>
    <row r="17" spans="2:3" x14ac:dyDescent="0.35">
      <c r="B17" s="2" t="s">
        <v>14</v>
      </c>
      <c r="C17" s="7">
        <f>'7-Rentabilité'!C8</f>
        <v>0.24635229962903224</v>
      </c>
    </row>
    <row r="18" spans="2:3" x14ac:dyDescent="0.35">
      <c r="B18" s="2" t="s">
        <v>15</v>
      </c>
      <c r="C18" s="7">
        <f>AVERAGE('4-P&amp;L'!C13:'4-P&amp;L'!E13)</f>
        <v>0.49413946708771511</v>
      </c>
    </row>
  </sheetData>
  <mergeCells count="3">
    <mergeCell ref="C8:D8"/>
    <mergeCell ref="B3:D3"/>
    <mergeCell ref="B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33"/>
  <sheetViews>
    <sheetView tabSelected="1" workbookViewId="0">
      <selection activeCell="H8" sqref="H8"/>
    </sheetView>
  </sheetViews>
  <sheetFormatPr baseColWidth="10" defaultColWidth="8.7265625" defaultRowHeight="14.5" x14ac:dyDescent="0.35"/>
  <cols>
    <col min="1" max="1" width="2" customWidth="1"/>
    <col min="2" max="2" width="40" customWidth="1"/>
    <col min="3" max="3" width="20" customWidth="1"/>
    <col min="4" max="4" width="15" customWidth="1"/>
    <col min="5" max="5" width="30" customWidth="1"/>
  </cols>
  <sheetData>
    <row r="2" spans="2:5" ht="21" x14ac:dyDescent="0.35">
      <c r="B2" s="33" t="s">
        <v>16</v>
      </c>
      <c r="C2" s="34"/>
      <c r="D2" s="34"/>
      <c r="E2" s="34"/>
    </row>
    <row r="4" spans="2:5" x14ac:dyDescent="0.35">
      <c r="B4" s="1" t="s">
        <v>17</v>
      </c>
    </row>
    <row r="5" spans="2:5" x14ac:dyDescent="0.35">
      <c r="B5" s="8" t="s">
        <v>18</v>
      </c>
      <c r="C5" s="8" t="s">
        <v>19</v>
      </c>
      <c r="D5" s="8" t="s">
        <v>20</v>
      </c>
      <c r="E5" s="8" t="s">
        <v>21</v>
      </c>
    </row>
    <row r="6" spans="2:5" x14ac:dyDescent="0.35">
      <c r="B6" s="9" t="s">
        <v>22</v>
      </c>
      <c r="C6" s="10">
        <v>10</v>
      </c>
      <c r="D6" s="4" t="s">
        <v>23</v>
      </c>
      <c r="E6" s="2" t="s">
        <v>24</v>
      </c>
    </row>
    <row r="7" spans="2:5" x14ac:dyDescent="0.35">
      <c r="B7" s="9" t="s">
        <v>25</v>
      </c>
      <c r="C7" s="10">
        <v>350</v>
      </c>
      <c r="D7" s="4" t="s">
        <v>26</v>
      </c>
      <c r="E7" s="2" t="s">
        <v>27</v>
      </c>
    </row>
    <row r="8" spans="2:5" x14ac:dyDescent="0.35">
      <c r="B8" s="11" t="s">
        <v>28</v>
      </c>
      <c r="C8" s="3">
        <f>C6*C7</f>
        <v>3500</v>
      </c>
      <c r="D8" s="4" t="s">
        <v>29</v>
      </c>
      <c r="E8" s="2" t="s">
        <v>30</v>
      </c>
    </row>
    <row r="9" spans="2:5" x14ac:dyDescent="0.35">
      <c r="B9" s="9" t="s">
        <v>31</v>
      </c>
      <c r="C9" s="12">
        <v>0.65</v>
      </c>
      <c r="D9" s="4" t="s">
        <v>32</v>
      </c>
      <c r="E9" s="2" t="s">
        <v>33</v>
      </c>
    </row>
    <row r="10" spans="2:5" x14ac:dyDescent="0.35">
      <c r="B10" s="11" t="s">
        <v>34</v>
      </c>
      <c r="C10" s="3">
        <f>C8*C9</f>
        <v>2275</v>
      </c>
      <c r="D10" s="4" t="s">
        <v>35</v>
      </c>
    </row>
    <row r="12" spans="2:5" x14ac:dyDescent="0.35">
      <c r="B12" s="1" t="s">
        <v>36</v>
      </c>
    </row>
    <row r="13" spans="2:5" x14ac:dyDescent="0.35">
      <c r="B13" s="9" t="s">
        <v>37</v>
      </c>
      <c r="C13" s="13">
        <v>75</v>
      </c>
      <c r="D13" s="4" t="s">
        <v>38</v>
      </c>
      <c r="E13" s="4" t="s">
        <v>39</v>
      </c>
    </row>
    <row r="14" spans="2:5" x14ac:dyDescent="0.35">
      <c r="B14" s="9" t="s">
        <v>40</v>
      </c>
      <c r="C14" s="13">
        <v>1250</v>
      </c>
      <c r="D14" s="4" t="s">
        <v>38</v>
      </c>
      <c r="E14" s="4" t="s">
        <v>41</v>
      </c>
    </row>
    <row r="15" spans="2:5" x14ac:dyDescent="0.35">
      <c r="B15" s="9" t="s">
        <v>42</v>
      </c>
      <c r="C15" s="12">
        <v>0.4</v>
      </c>
      <c r="D15" s="4" t="s">
        <v>43</v>
      </c>
    </row>
    <row r="16" spans="2:5" x14ac:dyDescent="0.35">
      <c r="B16" s="9" t="s">
        <v>44</v>
      </c>
      <c r="C16" s="13">
        <v>150</v>
      </c>
      <c r="D16" s="4" t="s">
        <v>45</v>
      </c>
      <c r="E16" s="4" t="s">
        <v>46</v>
      </c>
    </row>
    <row r="17" spans="2:5" x14ac:dyDescent="0.35">
      <c r="B17" s="9" t="s">
        <v>47</v>
      </c>
      <c r="C17" s="10">
        <v>80</v>
      </c>
      <c r="D17" s="4" t="s">
        <v>48</v>
      </c>
      <c r="E17" s="4" t="s">
        <v>49</v>
      </c>
    </row>
    <row r="18" spans="2:5" x14ac:dyDescent="0.35">
      <c r="B18" s="9" t="s">
        <v>50</v>
      </c>
      <c r="C18" s="13">
        <v>5</v>
      </c>
      <c r="D18" s="4" t="s">
        <v>51</v>
      </c>
    </row>
    <row r="20" spans="2:5" x14ac:dyDescent="0.35">
      <c r="B20" s="1" t="s">
        <v>52</v>
      </c>
    </row>
    <row r="21" spans="2:5" x14ac:dyDescent="0.35">
      <c r="B21" s="9" t="s">
        <v>53</v>
      </c>
      <c r="C21" s="10">
        <v>160</v>
      </c>
      <c r="D21" s="4" t="s">
        <v>54</v>
      </c>
    </row>
    <row r="22" spans="2:5" x14ac:dyDescent="0.35">
      <c r="B22" s="9" t="s">
        <v>55</v>
      </c>
      <c r="C22" s="13">
        <v>2</v>
      </c>
      <c r="D22" s="4" t="s">
        <v>56</v>
      </c>
    </row>
    <row r="23" spans="2:5" x14ac:dyDescent="0.35">
      <c r="B23" s="9" t="s">
        <v>57</v>
      </c>
      <c r="C23" s="12">
        <v>0.65</v>
      </c>
      <c r="D23" s="4" t="s">
        <v>32</v>
      </c>
    </row>
    <row r="24" spans="2:5" x14ac:dyDescent="0.35">
      <c r="B24" s="9" t="s">
        <v>58</v>
      </c>
      <c r="C24" s="13">
        <v>13.5</v>
      </c>
      <c r="D24" s="4" t="s">
        <v>59</v>
      </c>
    </row>
    <row r="25" spans="2:5" x14ac:dyDescent="0.35">
      <c r="B25" s="9" t="s">
        <v>60</v>
      </c>
      <c r="C25" s="13">
        <v>0.87480000000000002</v>
      </c>
      <c r="D25" s="4" t="s">
        <v>61</v>
      </c>
    </row>
    <row r="26" spans="2:5" x14ac:dyDescent="0.35">
      <c r="B26" s="9" t="s">
        <v>62</v>
      </c>
      <c r="C26" s="10">
        <v>43200</v>
      </c>
      <c r="D26" s="4" t="s">
        <v>63</v>
      </c>
    </row>
    <row r="28" spans="2:5" x14ac:dyDescent="0.35">
      <c r="B28" s="1" t="s">
        <v>64</v>
      </c>
    </row>
    <row r="29" spans="2:5" x14ac:dyDescent="0.35">
      <c r="B29" s="9" t="s">
        <v>65</v>
      </c>
      <c r="C29" s="13">
        <v>12400000</v>
      </c>
      <c r="D29" s="4" t="s">
        <v>66</v>
      </c>
    </row>
    <row r="30" spans="2:5" x14ac:dyDescent="0.35">
      <c r="B30" s="9" t="s">
        <v>67</v>
      </c>
      <c r="C30" s="10">
        <v>20</v>
      </c>
      <c r="D30" s="4" t="s">
        <v>68</v>
      </c>
    </row>
    <row r="31" spans="2:5" x14ac:dyDescent="0.35">
      <c r="B31" s="9" t="s">
        <v>69</v>
      </c>
      <c r="C31" s="10">
        <v>5</v>
      </c>
      <c r="D31" s="4" t="s">
        <v>68</v>
      </c>
    </row>
    <row r="32" spans="2:5" x14ac:dyDescent="0.35">
      <c r="B32" s="9" t="s">
        <v>70</v>
      </c>
      <c r="C32" s="12">
        <v>0.26500000000000001</v>
      </c>
      <c r="D32" s="4" t="s">
        <v>32</v>
      </c>
    </row>
    <row r="33" spans="2:4" x14ac:dyDescent="0.35">
      <c r="B33" s="9" t="s">
        <v>71</v>
      </c>
      <c r="C33" s="12">
        <v>0.1</v>
      </c>
      <c r="D33" s="4" t="s">
        <v>32</v>
      </c>
    </row>
  </sheetData>
  <mergeCells count="1">
    <mergeCell ref="B2:E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9"/>
  <sheetViews>
    <sheetView workbookViewId="0"/>
  </sheetViews>
  <sheetFormatPr baseColWidth="10" defaultColWidth="8.7265625" defaultRowHeight="14.5" x14ac:dyDescent="0.35"/>
  <cols>
    <col min="1" max="1" width="2" customWidth="1"/>
    <col min="2" max="2" width="35" customWidth="1"/>
    <col min="3" max="5" width="15" customWidth="1"/>
  </cols>
  <sheetData>
    <row r="2" spans="2:5" ht="18.5" x14ac:dyDescent="0.35">
      <c r="B2" s="35" t="s">
        <v>72</v>
      </c>
      <c r="C2" s="34"/>
      <c r="D2" s="34"/>
      <c r="E2" s="34"/>
    </row>
    <row r="4" spans="2:5" x14ac:dyDescent="0.35">
      <c r="B4" s="14" t="s">
        <v>73</v>
      </c>
      <c r="C4" s="15" t="s">
        <v>74</v>
      </c>
      <c r="D4" s="15" t="s">
        <v>75</v>
      </c>
      <c r="E4" s="15" t="s">
        <v>76</v>
      </c>
    </row>
    <row r="5" spans="2:5" x14ac:dyDescent="0.35">
      <c r="B5" s="1" t="s">
        <v>77</v>
      </c>
    </row>
    <row r="6" spans="2:5" x14ac:dyDescent="0.35">
      <c r="B6" s="2" t="s">
        <v>78</v>
      </c>
      <c r="C6" s="5">
        <f>'1-Hypothèses'!C8*'1-Hypothèses'!C13</f>
        <v>262500</v>
      </c>
      <c r="D6" s="5">
        <f>'1-Hypothèses'!C8*'1-Hypothèses'!C13</f>
        <v>262500</v>
      </c>
      <c r="E6" s="5">
        <f>'1-Hypothèses'!C8*'1-Hypothèses'!C13</f>
        <v>262500</v>
      </c>
    </row>
    <row r="7" spans="2:5" x14ac:dyDescent="0.35">
      <c r="B7" s="2" t="s">
        <v>79</v>
      </c>
      <c r="C7" s="5">
        <f>'1-Hypothèses'!C10*'1-Hypothèses'!C15*'1-Hypothèses'!C14</f>
        <v>1137500</v>
      </c>
      <c r="D7" s="5">
        <f>'1-Hypothèses'!C10*'1-Hypothèses'!C15*'1-Hypothèses'!C14</f>
        <v>1137500</v>
      </c>
      <c r="E7" s="5">
        <f>'1-Hypothèses'!C10*'1-Hypothèses'!C15*'1-Hypothèses'!C14</f>
        <v>1137500</v>
      </c>
    </row>
    <row r="8" spans="2:5" x14ac:dyDescent="0.35">
      <c r="B8" s="2" t="s">
        <v>80</v>
      </c>
      <c r="C8" s="5">
        <f>'1-Hypothèses'!C10*1.3*'1-Hypothèses'!C16</f>
        <v>443625</v>
      </c>
      <c r="D8" s="5">
        <f>'1-Hypothèses'!C10*1.3*'1-Hypothèses'!C16</f>
        <v>443625</v>
      </c>
      <c r="E8" s="5">
        <f>'1-Hypothèses'!C10*1.3*'1-Hypothèses'!C16</f>
        <v>443625</v>
      </c>
    </row>
    <row r="9" spans="2:5" x14ac:dyDescent="0.35">
      <c r="B9" s="2" t="s">
        <v>81</v>
      </c>
      <c r="C9" s="5">
        <f>'1-Hypothèses'!C10*'1-Hypothèses'!C17*'1-Hypothèses'!C18</f>
        <v>910000</v>
      </c>
      <c r="D9" s="5">
        <f>'1-Hypothèses'!C10*'1-Hypothèses'!C17*'1-Hypothèses'!C18</f>
        <v>910000</v>
      </c>
      <c r="E9" s="5">
        <f>'1-Hypothèses'!C10*'1-Hypothèses'!C17*'1-Hypothèses'!C18</f>
        <v>910000</v>
      </c>
    </row>
    <row r="10" spans="2:5" x14ac:dyDescent="0.35">
      <c r="B10" s="2" t="s">
        <v>82</v>
      </c>
      <c r="C10" s="5">
        <f>'1-Hypothèses'!C21*8760*'1-Hypothèses'!C23*'1-Hypothèses'!C22</f>
        <v>1822080</v>
      </c>
      <c r="D10" s="5">
        <f>'1-Hypothèses'!C21*8760*'1-Hypothèses'!C23*'1-Hypothèses'!C22</f>
        <v>1822080</v>
      </c>
      <c r="E10" s="5">
        <f>'1-Hypothèses'!C21*8760*'1-Hypothèses'!C23*'1-Hypothèses'!C22</f>
        <v>1822080</v>
      </c>
    </row>
    <row r="11" spans="2:5" x14ac:dyDescent="0.35">
      <c r="B11" s="2" t="s">
        <v>83</v>
      </c>
      <c r="C11" s="16">
        <v>105250</v>
      </c>
      <c r="D11" s="16">
        <v>105250</v>
      </c>
      <c r="E11" s="16">
        <v>105250</v>
      </c>
    </row>
    <row r="12" spans="2:5" x14ac:dyDescent="0.35">
      <c r="B12" s="17" t="s">
        <v>84</v>
      </c>
      <c r="C12" s="18">
        <f>SUM(C6:C11)</f>
        <v>4680955</v>
      </c>
      <c r="D12" s="18">
        <f>SUM(D6:D11)</f>
        <v>4680955</v>
      </c>
      <c r="E12" s="18">
        <f>SUM(E6:E11)</f>
        <v>4680955</v>
      </c>
    </row>
    <row r="14" spans="2:5" x14ac:dyDescent="0.35">
      <c r="B14" s="1" t="s">
        <v>85</v>
      </c>
    </row>
    <row r="15" spans="2:5" x14ac:dyDescent="0.35">
      <c r="B15" s="2" t="s">
        <v>86</v>
      </c>
      <c r="C15" s="5">
        <f>'1-Hypothèses'!C26*'1-Hypothèses'!C24</f>
        <v>583200</v>
      </c>
      <c r="D15" s="5">
        <f>'1-Hypothèses'!C26*'1-Hypothèses'!C24</f>
        <v>583200</v>
      </c>
      <c r="E15" s="5">
        <f>'1-Hypothèses'!C26*'1-Hypothèses'!C24</f>
        <v>583200</v>
      </c>
    </row>
    <row r="16" spans="2:5" x14ac:dyDescent="0.35">
      <c r="B16" s="2" t="s">
        <v>87</v>
      </c>
      <c r="C16" s="5">
        <f>'1-Hypothèses'!C26*1*'1-Hypothèses'!C25*12</f>
        <v>453496.32000000001</v>
      </c>
      <c r="D16" s="5">
        <f>'1-Hypothèses'!C26*2*'1-Hypothèses'!C25*12</f>
        <v>906992.64000000001</v>
      </c>
      <c r="E16" s="5">
        <f>'1-Hypothèses'!C26*3*'1-Hypothèses'!C25*12</f>
        <v>1360488.96</v>
      </c>
    </row>
    <row r="17" spans="2:5" x14ac:dyDescent="0.35">
      <c r="B17" s="17" t="s">
        <v>88</v>
      </c>
      <c r="C17" s="18">
        <f>SUM(C15:C16)</f>
        <v>1036696.3200000001</v>
      </c>
      <c r="D17" s="18">
        <f>SUM(D15:D16)</f>
        <v>1490192.6400000001</v>
      </c>
      <c r="E17" s="18">
        <f>SUM(E15:E16)</f>
        <v>1943688.96</v>
      </c>
    </row>
    <row r="19" spans="2:5" x14ac:dyDescent="0.35">
      <c r="B19" s="19" t="s">
        <v>89</v>
      </c>
      <c r="C19" s="18">
        <f>C12+C17</f>
        <v>5717651.3200000003</v>
      </c>
      <c r="D19" s="18">
        <f>D12+D17</f>
        <v>6171147.6400000006</v>
      </c>
      <c r="E19" s="18">
        <f>E12+E17</f>
        <v>6624643.96</v>
      </c>
    </row>
  </sheetData>
  <mergeCells count="1">
    <mergeCell ref="B2:E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20"/>
  <sheetViews>
    <sheetView workbookViewId="0">
      <selection activeCell="C24" sqref="C24"/>
    </sheetView>
  </sheetViews>
  <sheetFormatPr baseColWidth="10" defaultColWidth="8.7265625" defaultRowHeight="14.5" x14ac:dyDescent="0.35"/>
  <cols>
    <col min="1" max="1" width="2" customWidth="1"/>
    <col min="2" max="2" width="35" customWidth="1"/>
    <col min="3" max="5" width="15" customWidth="1"/>
  </cols>
  <sheetData>
    <row r="2" spans="2:5" x14ac:dyDescent="0.35">
      <c r="B2" s="19" t="s">
        <v>90</v>
      </c>
    </row>
    <row r="4" spans="2:5" x14ac:dyDescent="0.35">
      <c r="B4" s="14" t="s">
        <v>91</v>
      </c>
      <c r="C4" s="15" t="s">
        <v>74</v>
      </c>
      <c r="D4" s="15" t="s">
        <v>75</v>
      </c>
      <c r="E4" s="15" t="s">
        <v>76</v>
      </c>
    </row>
    <row r="5" spans="2:5" x14ac:dyDescent="0.35">
      <c r="B5" s="1" t="s">
        <v>92</v>
      </c>
    </row>
    <row r="6" spans="2:5" x14ac:dyDescent="0.35">
      <c r="B6" s="2" t="s">
        <v>93</v>
      </c>
      <c r="C6" s="16">
        <v>250000</v>
      </c>
      <c r="D6" s="16">
        <v>250000</v>
      </c>
      <c r="E6" s="16">
        <v>250000</v>
      </c>
    </row>
    <row r="7" spans="2:5" x14ac:dyDescent="0.35">
      <c r="B7" s="2" t="s">
        <v>94</v>
      </c>
      <c r="C7" s="16">
        <v>80000</v>
      </c>
      <c r="D7" s="16">
        <v>80000</v>
      </c>
      <c r="E7" s="16">
        <v>80000</v>
      </c>
    </row>
    <row r="8" spans="2:5" x14ac:dyDescent="0.35">
      <c r="B8" s="2" t="s">
        <v>95</v>
      </c>
      <c r="C8" s="16">
        <v>520000</v>
      </c>
      <c r="D8" s="16">
        <v>520000</v>
      </c>
      <c r="E8" s="16">
        <v>520000</v>
      </c>
    </row>
    <row r="9" spans="2:5" x14ac:dyDescent="0.35">
      <c r="B9" s="2" t="s">
        <v>96</v>
      </c>
      <c r="C9" s="16">
        <v>120000</v>
      </c>
      <c r="D9" s="16">
        <v>120000</v>
      </c>
      <c r="E9" s="16">
        <v>120000</v>
      </c>
    </row>
    <row r="10" spans="2:5" x14ac:dyDescent="0.35">
      <c r="B10" s="2" t="s">
        <v>97</v>
      </c>
      <c r="C10" s="16">
        <v>100000</v>
      </c>
      <c r="D10" s="16">
        <v>100000</v>
      </c>
      <c r="E10" s="16">
        <v>100000</v>
      </c>
    </row>
    <row r="11" spans="2:5" x14ac:dyDescent="0.35">
      <c r="B11" s="2" t="s">
        <v>98</v>
      </c>
      <c r="C11" s="16">
        <v>40000</v>
      </c>
      <c r="D11" s="16">
        <v>40000</v>
      </c>
      <c r="E11" s="16">
        <v>40000</v>
      </c>
    </row>
    <row r="12" spans="2:5" x14ac:dyDescent="0.35">
      <c r="B12" s="2" t="s">
        <v>99</v>
      </c>
      <c r="C12" s="16">
        <v>105000</v>
      </c>
      <c r="D12" s="16">
        <v>105000</v>
      </c>
      <c r="E12" s="16">
        <v>105000</v>
      </c>
    </row>
    <row r="13" spans="2:5" x14ac:dyDescent="0.35">
      <c r="B13" s="20" t="s">
        <v>100</v>
      </c>
      <c r="C13" s="21">
        <f>SUM(C6:C12)</f>
        <v>1215000</v>
      </c>
      <c r="D13" s="21">
        <f>SUM(D6:D12)</f>
        <v>1215000</v>
      </c>
      <c r="E13" s="21">
        <f>SUM(E6:E12)</f>
        <v>1215000</v>
      </c>
    </row>
    <row r="15" spans="2:5" x14ac:dyDescent="0.35">
      <c r="B15" s="1" t="s">
        <v>101</v>
      </c>
    </row>
    <row r="16" spans="2:5" x14ac:dyDescent="0.35">
      <c r="B16" s="2" t="s">
        <v>102</v>
      </c>
      <c r="C16" s="5">
        <f>(12400000-1200000)/'1-Hypothèses'!C30</f>
        <v>560000</v>
      </c>
      <c r="D16" s="5">
        <f>(12400000-1200000)/'1-Hypothèses'!C30</f>
        <v>560000</v>
      </c>
      <c r="E16" s="5">
        <f>(12400000-1200000)/'1-Hypothèses'!C30</f>
        <v>560000</v>
      </c>
    </row>
    <row r="17" spans="2:5" x14ac:dyDescent="0.35">
      <c r="B17" s="2" t="s">
        <v>103</v>
      </c>
      <c r="C17" s="5">
        <f>1200000/'1-Hypothèses'!C31</f>
        <v>240000</v>
      </c>
      <c r="D17" s="5">
        <f>1200000/'1-Hypothèses'!C31</f>
        <v>240000</v>
      </c>
      <c r="E17" s="5">
        <f>1200000/'1-Hypothèses'!C31</f>
        <v>240000</v>
      </c>
    </row>
    <row r="18" spans="2:5" x14ac:dyDescent="0.35">
      <c r="B18" s="20" t="s">
        <v>104</v>
      </c>
      <c r="C18" s="21">
        <f>SUM(C16:C17)</f>
        <v>800000</v>
      </c>
      <c r="D18" s="21">
        <f>SUM(D16:D17)</f>
        <v>800000</v>
      </c>
      <c r="E18" s="21">
        <f>SUM(E16:E17)</f>
        <v>800000</v>
      </c>
    </row>
    <row r="20" spans="2:5" x14ac:dyDescent="0.35">
      <c r="B20" s="19" t="s">
        <v>105</v>
      </c>
      <c r="C20" s="21">
        <f>C13+C18</f>
        <v>2015000</v>
      </c>
      <c r="D20" s="21">
        <f>D13+D18</f>
        <v>2015000</v>
      </c>
      <c r="E20" s="21">
        <f>E13+E18</f>
        <v>2015000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13"/>
  <sheetViews>
    <sheetView workbookViewId="0"/>
  </sheetViews>
  <sheetFormatPr baseColWidth="10" defaultColWidth="8.7265625" defaultRowHeight="14.5" x14ac:dyDescent="0.35"/>
  <cols>
    <col min="1" max="1" width="2" customWidth="1"/>
    <col min="2" max="2" width="35" customWidth="1"/>
    <col min="3" max="5" width="15" customWidth="1"/>
  </cols>
  <sheetData>
    <row r="2" spans="2:5" x14ac:dyDescent="0.35">
      <c r="B2" s="19" t="s">
        <v>106</v>
      </c>
    </row>
    <row r="4" spans="2:5" x14ac:dyDescent="0.35">
      <c r="B4" s="14" t="s">
        <v>107</v>
      </c>
      <c r="C4" s="15" t="s">
        <v>74</v>
      </c>
      <c r="D4" s="15" t="s">
        <v>75</v>
      </c>
      <c r="E4" s="15" t="s">
        <v>76</v>
      </c>
    </row>
    <row r="5" spans="2:5" x14ac:dyDescent="0.35">
      <c r="B5" s="17" t="s">
        <v>108</v>
      </c>
      <c r="C5" s="18">
        <f>'2-Revenus'!C19</f>
        <v>5717651.3200000003</v>
      </c>
      <c r="D5" s="18">
        <f>'2-Revenus'!D19</f>
        <v>6171147.6400000006</v>
      </c>
      <c r="E5" s="18">
        <f>'2-Revenus'!E19</f>
        <v>6624643.96</v>
      </c>
    </row>
    <row r="6" spans="2:5" x14ac:dyDescent="0.35">
      <c r="B6" s="22" t="s">
        <v>109</v>
      </c>
      <c r="C6" s="23">
        <f>-'3-Charges'!C13</f>
        <v>-1215000</v>
      </c>
      <c r="D6" s="23">
        <f>-'3-Charges'!D13</f>
        <v>-1215000</v>
      </c>
      <c r="E6" s="23">
        <f>-'3-Charges'!E13</f>
        <v>-1215000</v>
      </c>
    </row>
    <row r="7" spans="2:5" x14ac:dyDescent="0.35">
      <c r="B7" s="17" t="s">
        <v>10</v>
      </c>
      <c r="C7" s="18">
        <f>SUM(C5:C6)</f>
        <v>4502651.32</v>
      </c>
      <c r="D7" s="18">
        <f>SUM(D5:D6)</f>
        <v>4956147.6400000006</v>
      </c>
      <c r="E7" s="18">
        <f>SUM(E5:E6)</f>
        <v>5409643.96</v>
      </c>
    </row>
    <row r="8" spans="2:5" x14ac:dyDescent="0.35">
      <c r="B8" s="22" t="s">
        <v>110</v>
      </c>
      <c r="C8" s="23">
        <f>-'3-Charges'!C18</f>
        <v>-800000</v>
      </c>
      <c r="D8" s="23">
        <f>-'3-Charges'!D18</f>
        <v>-800000</v>
      </c>
      <c r="E8" s="23">
        <f>-'3-Charges'!E18</f>
        <v>-800000</v>
      </c>
    </row>
    <row r="9" spans="2:5" x14ac:dyDescent="0.35">
      <c r="B9" s="11" t="s">
        <v>111</v>
      </c>
      <c r="C9" s="24">
        <f>SUM(C7:C8)</f>
        <v>3702651.3200000003</v>
      </c>
      <c r="D9" s="24">
        <f>SUM(D7:D8)</f>
        <v>4156147.6400000006</v>
      </c>
      <c r="E9" s="24">
        <f>SUM(E7:E8)</f>
        <v>4609643.96</v>
      </c>
    </row>
    <row r="10" spans="2:5" x14ac:dyDescent="0.35">
      <c r="B10" s="22" t="s">
        <v>112</v>
      </c>
      <c r="C10" s="23">
        <f>IF(C9&gt;0,-C9*'1-Hypothèses'!C32,0)</f>
        <v>-981202.59980000008</v>
      </c>
      <c r="D10" s="23">
        <f>IF(D9&gt;0,-D9*'1-Hypothèses'!C32,0)</f>
        <v>-1101379.1246000002</v>
      </c>
      <c r="E10" s="23">
        <f>IF(E9&gt;0,-E9*'1-Hypothèses'!C32,0)</f>
        <v>-1221555.6494</v>
      </c>
    </row>
    <row r="12" spans="2:5" x14ac:dyDescent="0.35">
      <c r="B12" s="19" t="s">
        <v>113</v>
      </c>
      <c r="C12" s="18">
        <f>SUM(C9:C10)</f>
        <v>2721448.7202000003</v>
      </c>
      <c r="D12" s="18">
        <f>SUM(D9:D10)</f>
        <v>3054768.5154000004</v>
      </c>
      <c r="E12" s="18">
        <f>SUM(E9:E10)</f>
        <v>3388088.3106</v>
      </c>
    </row>
    <row r="13" spans="2:5" x14ac:dyDescent="0.35">
      <c r="B13" s="2" t="s">
        <v>114</v>
      </c>
      <c r="C13" s="25">
        <f>C12/C5</f>
        <v>0.47597318687142331</v>
      </c>
      <c r="D13" s="25">
        <f>D12/D5</f>
        <v>0.49500817248313317</v>
      </c>
      <c r="E13" s="25">
        <f>E12/E5</f>
        <v>0.51143704190858885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11"/>
  <sheetViews>
    <sheetView workbookViewId="0"/>
  </sheetViews>
  <sheetFormatPr baseColWidth="10" defaultColWidth="8.7265625" defaultRowHeight="14.5" x14ac:dyDescent="0.35"/>
  <cols>
    <col min="1" max="1" width="2" customWidth="1"/>
    <col min="2" max="2" width="45" customWidth="1"/>
    <col min="3" max="3" width="20" customWidth="1"/>
    <col min="4" max="4" width="15" customWidth="1"/>
  </cols>
  <sheetData>
    <row r="2" spans="2:4" x14ac:dyDescent="0.35">
      <c r="B2" s="19" t="s">
        <v>115</v>
      </c>
    </row>
    <row r="4" spans="2:4" x14ac:dyDescent="0.35">
      <c r="B4" s="14" t="s">
        <v>116</v>
      </c>
      <c r="C4" s="14" t="s">
        <v>19</v>
      </c>
      <c r="D4" s="14" t="s">
        <v>20</v>
      </c>
    </row>
    <row r="5" spans="2:4" x14ac:dyDescent="0.35">
      <c r="B5" s="26" t="s">
        <v>117</v>
      </c>
      <c r="C5" s="5">
        <f>'1-Hypothèses'!C29</f>
        <v>12400000</v>
      </c>
      <c r="D5" s="4" t="s">
        <v>66</v>
      </c>
    </row>
    <row r="6" spans="2:4" x14ac:dyDescent="0.35">
      <c r="B6" s="26" t="s">
        <v>118</v>
      </c>
      <c r="C6" s="5">
        <f>AVERAGE('4-P&amp;L'!C12,'4-P&amp;L'!D12,'4-P&amp;L'!E12)</f>
        <v>3054768.5153999999</v>
      </c>
      <c r="D6" s="4" t="s">
        <v>119</v>
      </c>
    </row>
    <row r="7" spans="2:4" x14ac:dyDescent="0.35">
      <c r="B7" s="17" t="s">
        <v>120</v>
      </c>
      <c r="C7" s="6">
        <f>C5/C6</f>
        <v>4.0592273808924961</v>
      </c>
      <c r="D7" s="4" t="s">
        <v>68</v>
      </c>
    </row>
    <row r="8" spans="2:4" x14ac:dyDescent="0.35">
      <c r="B8" s="17" t="s">
        <v>14</v>
      </c>
      <c r="C8" s="7">
        <f>C6/C5</f>
        <v>0.24635229962903224</v>
      </c>
      <c r="D8" s="4" t="s">
        <v>32</v>
      </c>
    </row>
    <row r="10" spans="2:4" x14ac:dyDescent="0.35">
      <c r="B10" s="26" t="s">
        <v>121</v>
      </c>
      <c r="C10" s="24">
        <f>-C5+NPV('1-Hypothèses'!C33,'4-P&amp;L'!C12,'4-P&amp;L'!D12,'4-P&amp;L'!E12,'4-P&amp;L'!E12,'4-P&amp;L'!E12,'4-P&amp;L'!E12,'4-P&amp;L'!E12,'4-P&amp;L'!E12,'4-P&amp;L'!E12,'4-P&amp;L'!E12)</f>
        <v>7536829.0881386027</v>
      </c>
    </row>
    <row r="11" spans="2:4" x14ac:dyDescent="0.35">
      <c r="B11" s="26" t="s">
        <v>122</v>
      </c>
      <c r="C11" s="27"/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b5404dae-2e83-41e2-a532-1266cd6e10c6}" enabled="1" method="Privileged" siteId="{dd598ee0-c987-4b31-9cee-6d584cac8f7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0-Sommaire</vt:lpstr>
      <vt:lpstr>1-Hypothèses</vt:lpstr>
      <vt:lpstr>2-Revenus</vt:lpstr>
      <vt:lpstr>3-Charges</vt:lpstr>
      <vt:lpstr>4-P&amp;L</vt:lpstr>
      <vt:lpstr>7-Rentabilité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David Roy</cp:lastModifiedBy>
  <dcterms:created xsi:type="dcterms:W3CDTF">2026-06-26T19:05:01Z</dcterms:created>
  <dcterms:modified xsi:type="dcterms:W3CDTF">2026-06-26T19:10:28Z</dcterms:modified>
</cp:coreProperties>
</file>